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icto\Desktop\curso de bolsa\02. Bloque 2_Analisis Fundamental\"/>
    </mc:Choice>
  </mc:AlternateContent>
  <xr:revisionPtr revIDLastSave="0" documentId="13_ncr:1_{0DA461C4-35F4-4D92-97F9-7005A3D3DB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ÑO 2019" sheetId="2" r:id="rId1"/>
    <sheet name="AÑO 2018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2" l="1"/>
  <c r="K2" i="4"/>
  <c r="I6" i="4" l="1"/>
  <c r="I4" i="4"/>
  <c r="I2" i="4"/>
  <c r="I6" i="2"/>
  <c r="I4" i="2" l="1"/>
  <c r="I2" i="2"/>
  <c r="H17" i="4"/>
  <c r="H15" i="4"/>
  <c r="H25" i="4"/>
  <c r="H22" i="4"/>
  <c r="H18" i="4"/>
  <c r="H16" i="4"/>
  <c r="H14" i="4"/>
  <c r="H13" i="4"/>
  <c r="H12" i="4"/>
  <c r="D25" i="4"/>
  <c r="D24" i="4"/>
  <c r="D23" i="4"/>
  <c r="D22" i="4"/>
  <c r="D18" i="4"/>
  <c r="D17" i="4"/>
  <c r="D16" i="4"/>
  <c r="D12" i="4"/>
  <c r="L25" i="4"/>
  <c r="L24" i="4"/>
  <c r="L22" i="4"/>
  <c r="L21" i="4"/>
  <c r="L19" i="4"/>
  <c r="L18" i="4"/>
  <c r="L16" i="4"/>
  <c r="L15" i="4"/>
  <c r="L14" i="4"/>
  <c r="L11" i="4"/>
  <c r="L10" i="4"/>
  <c r="L9" i="4"/>
  <c r="L18" i="2"/>
  <c r="L19" i="2"/>
  <c r="L24" i="2"/>
  <c r="H25" i="2"/>
  <c r="H22" i="2"/>
  <c r="D25" i="2"/>
  <c r="D24" i="2"/>
  <c r="D23" i="2"/>
  <c r="D22" i="2"/>
  <c r="H15" i="2"/>
  <c r="H17" i="2"/>
  <c r="H16" i="2"/>
  <c r="H14" i="2"/>
  <c r="H13" i="2"/>
  <c r="H12" i="2"/>
  <c r="D18" i="2"/>
  <c r="D17" i="2"/>
  <c r="D16" i="2"/>
  <c r="D12" i="2"/>
  <c r="K25" i="4"/>
  <c r="K25" i="2"/>
  <c r="L25" i="2" s="1"/>
  <c r="K24" i="4"/>
  <c r="K24" i="2"/>
  <c r="K22" i="4"/>
  <c r="K22" i="2"/>
  <c r="L22" i="2" s="1"/>
  <c r="K21" i="4"/>
  <c r="K19" i="2"/>
  <c r="K21" i="2" s="1"/>
  <c r="L21" i="2" s="1"/>
  <c r="K19" i="4"/>
  <c r="K16" i="4"/>
  <c r="K18" i="4" s="1"/>
  <c r="K15" i="4"/>
  <c r="K14" i="4"/>
  <c r="K11" i="4"/>
  <c r="K10" i="4"/>
  <c r="K9" i="4"/>
  <c r="K11" i="2"/>
  <c r="L11" i="2" s="1"/>
  <c r="K10" i="2"/>
  <c r="L10" i="2" s="1"/>
  <c r="K16" i="2"/>
  <c r="K18" i="2" s="1"/>
  <c r="C18" i="4"/>
  <c r="K15" i="2"/>
  <c r="L15" i="2" s="1"/>
  <c r="K14" i="2"/>
  <c r="L14" i="2" s="1"/>
  <c r="G18" i="4"/>
  <c r="C18" i="2"/>
  <c r="K9" i="2" s="1"/>
  <c r="L9" i="2" s="1"/>
  <c r="G18" i="2"/>
  <c r="H18" i="2" s="1"/>
  <c r="L16" i="2" l="1"/>
</calcChain>
</file>

<file path=xl/sharedStrings.xml><?xml version="1.0" encoding="utf-8"?>
<sst xmlns="http://schemas.openxmlformats.org/spreadsheetml/2006/main" count="96" uniqueCount="45">
  <si>
    <t>Pay-out Ratio</t>
  </si>
  <si>
    <t>PER</t>
  </si>
  <si>
    <t>EBIT</t>
  </si>
  <si>
    <t>Beneficio neto (Net income)</t>
  </si>
  <si>
    <t>Flujo de caja libre (FCF)</t>
  </si>
  <si>
    <t>DPA (DPS)</t>
  </si>
  <si>
    <t>ROIC (Return on Invested Capital)</t>
  </si>
  <si>
    <t xml:space="preserve">            del cual: Deuda LP (Long term debt)</t>
  </si>
  <si>
    <t xml:space="preserve">            del cual: Deuda CP (Short term debt)</t>
  </si>
  <si>
    <t xml:space="preserve">Ingresos por Ventas </t>
  </si>
  <si>
    <t>CUENTA DE RESULTADOS</t>
  </si>
  <si>
    <t>FLUJOS DE CAJA</t>
  </si>
  <si>
    <t>TOTAL PASIVO + PATRIMONIO NETO</t>
  </si>
  <si>
    <t xml:space="preserve">BALANCE DE SITUACION </t>
  </si>
  <si>
    <t>Variacion</t>
  </si>
  <si>
    <t>Año actual</t>
  </si>
  <si>
    <t>PATRIMONIO NETO (Stockholders Equity)</t>
  </si>
  <si>
    <t>TOTAL ACTIVO (Total Assets)</t>
  </si>
  <si>
    <r>
      <rPr>
        <b/>
        <sz val="10"/>
        <rFont val="Arial"/>
        <family val="2"/>
      </rPr>
      <t xml:space="preserve">ROE </t>
    </r>
    <r>
      <rPr>
        <b/>
        <sz val="10"/>
        <color rgb="FF000000"/>
        <rFont val="Arial"/>
        <family val="2"/>
      </rPr>
      <t>(Return on equity)</t>
    </r>
  </si>
  <si>
    <r>
      <rPr>
        <b/>
        <sz val="10"/>
        <rFont val="Arial"/>
        <family val="2"/>
      </rPr>
      <t xml:space="preserve">ROA </t>
    </r>
    <r>
      <rPr>
        <b/>
        <sz val="10"/>
        <color rgb="FF000000"/>
        <rFont val="Arial"/>
        <family val="2"/>
      </rPr>
      <t>(Return on assets)</t>
    </r>
  </si>
  <si>
    <t>Margen Bruto (Gross Margin)</t>
  </si>
  <si>
    <t>Margen Neto (Net Margin)</t>
  </si>
  <si>
    <t>Debt/Equity Ratio</t>
  </si>
  <si>
    <t>BPA (Earnings per share)</t>
  </si>
  <si>
    <t>DPA (Dividend per share)</t>
  </si>
  <si>
    <t>Precio-Beneficio (PER)</t>
  </si>
  <si>
    <t>Rentabilidad por dividendo (DY)</t>
  </si>
  <si>
    <t>Fondo de Maniobra (Working  Capital)</t>
  </si>
  <si>
    <t>Nombre de la empresa</t>
  </si>
  <si>
    <t>Precio de cotizacion</t>
  </si>
  <si>
    <t>Numero de acciones</t>
  </si>
  <si>
    <t>IBERDROLA S.A</t>
  </si>
  <si>
    <t>Año</t>
  </si>
  <si>
    <t>Activo no corriente (Non current assets)</t>
  </si>
  <si>
    <t>Activo corriente (Current assets)</t>
  </si>
  <si>
    <t>Pasivo no corriente (Non current liabilities)</t>
  </si>
  <si>
    <t>Pasivo corriente (Current liabilities)</t>
  </si>
  <si>
    <t xml:space="preserve">       del que:  Tesoreria </t>
  </si>
  <si>
    <t>Ventas (Revenues)</t>
  </si>
  <si>
    <t>Coste por las ventas</t>
  </si>
  <si>
    <t>Ingresos/gastos extraordinarios</t>
  </si>
  <si>
    <t>Fondos propios</t>
  </si>
  <si>
    <t>EV/FCF</t>
  </si>
  <si>
    <t>EV/EBIT</t>
  </si>
  <si>
    <t>PRECIO OBJETIVO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</si>
</sst>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(#,##0.00\)"/>
    <numFmt numFmtId="165" formatCode="_-* #,##0_-;\-* #,##0_-;_-* &quot;-&quot;??_-;_-@_-"/>
    <numFmt numFmtId="166" formatCode="_-* #,##0.00\ _€_-;\-* #,##0.00\ _€_-;_-* &quot;-&quot;??\ _€_-;_-@_-"/>
  </numFmts>
  <fonts count="23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u/>
      <sz val="10"/>
      <color rgb="FF00000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color rgb="FF000000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9C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9CB9C"/>
      </patternFill>
    </fill>
    <fill>
      <patternFill patternType="solid">
        <fgColor theme="6" tint="0.59999389629810485"/>
        <bgColor rgb="FFFFE599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rgb="FFF9C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 applyFont="1" applyAlignment="1"/>
    <xf numFmtId="0" fontId="0" fillId="4" borderId="0" xfId="0" applyFont="1" applyFill="1" applyAlignment="1"/>
    <xf numFmtId="164" fontId="2" fillId="5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right" vertical="center" wrapText="1"/>
    </xf>
    <xf numFmtId="0" fontId="9" fillId="4" borderId="0" xfId="0" applyFont="1" applyFill="1" applyAlignment="1"/>
    <xf numFmtId="0" fontId="10" fillId="4" borderId="0" xfId="0" applyFont="1" applyFill="1" applyAlignment="1"/>
    <xf numFmtId="0" fontId="11" fillId="4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right"/>
    </xf>
    <xf numFmtId="164" fontId="1" fillId="6" borderId="1" xfId="0" applyNumberFormat="1" applyFont="1" applyFill="1" applyBorder="1" applyAlignment="1">
      <alignment horizontal="right" vertical="center" wrapText="1"/>
    </xf>
    <xf numFmtId="164" fontId="8" fillId="6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right" vertical="center" wrapText="1"/>
    </xf>
    <xf numFmtId="0" fontId="0" fillId="3" borderId="0" xfId="0" applyFont="1" applyFill="1" applyAlignment="1">
      <alignment horizontal="right"/>
    </xf>
    <xf numFmtId="164" fontId="2" fillId="10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0" fontId="0" fillId="3" borderId="0" xfId="0" applyFont="1" applyFill="1" applyAlignment="1"/>
    <xf numFmtId="0" fontId="12" fillId="3" borderId="0" xfId="0" applyFont="1" applyFill="1" applyAlignment="1">
      <alignment horizontal="center"/>
    </xf>
    <xf numFmtId="0" fontId="13" fillId="3" borderId="0" xfId="0" applyFont="1" applyFill="1" applyAlignment="1"/>
    <xf numFmtId="0" fontId="14" fillId="4" borderId="0" xfId="0" applyFont="1" applyFill="1" applyAlignment="1"/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wrapText="1"/>
    </xf>
    <xf numFmtId="0" fontId="19" fillId="4" borderId="0" xfId="0" applyFont="1" applyFill="1" applyAlignment="1"/>
    <xf numFmtId="0" fontId="20" fillId="4" borderId="0" xfId="0" applyFont="1" applyFill="1" applyAlignment="1"/>
    <xf numFmtId="0" fontId="20" fillId="6" borderId="1" xfId="0" applyFont="1" applyFill="1" applyBorder="1" applyAlignment="1"/>
    <xf numFmtId="0" fontId="20" fillId="6" borderId="1" xfId="0" applyFont="1" applyFill="1" applyBorder="1" applyAlignment="1">
      <alignment horizontal="center"/>
    </xf>
    <xf numFmtId="3" fontId="9" fillId="0" borderId="0" xfId="0" applyNumberFormat="1" applyFont="1" applyAlignment="1"/>
    <xf numFmtId="164" fontId="4" fillId="6" borderId="1" xfId="0" applyNumberFormat="1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10" fontId="8" fillId="3" borderId="1" xfId="2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right"/>
    </xf>
    <xf numFmtId="164" fontId="8" fillId="10" borderId="0" xfId="0" applyNumberFormat="1" applyFont="1" applyFill="1" applyBorder="1" applyAlignment="1">
      <alignment horizontal="right" vertical="center" wrapText="1"/>
    </xf>
    <xf numFmtId="10" fontId="22" fillId="3" borderId="1" xfId="2" applyNumberFormat="1" applyFont="1" applyFill="1" applyBorder="1" applyAlignment="1"/>
    <xf numFmtId="10" fontId="22" fillId="4" borderId="1" xfId="2" applyNumberFormat="1" applyFont="1" applyFill="1" applyBorder="1" applyAlignment="1"/>
    <xf numFmtId="0" fontId="22" fillId="4" borderId="0" xfId="0" applyFont="1" applyFill="1" applyAlignment="1"/>
    <xf numFmtId="43" fontId="22" fillId="4" borderId="1" xfId="1" applyNumberFormat="1" applyFont="1" applyFill="1" applyBorder="1" applyAlignment="1"/>
    <xf numFmtId="164" fontId="22" fillId="4" borderId="1" xfId="0" applyNumberFormat="1" applyFont="1" applyFill="1" applyBorder="1" applyAlignment="1"/>
    <xf numFmtId="43" fontId="22" fillId="4" borderId="1" xfId="1" applyFont="1" applyFill="1" applyBorder="1" applyAlignment="1"/>
    <xf numFmtId="4" fontId="22" fillId="4" borderId="1" xfId="0" applyNumberFormat="1" applyFont="1" applyFill="1" applyBorder="1" applyAlignment="1"/>
    <xf numFmtId="10" fontId="22" fillId="3" borderId="0" xfId="2" applyNumberFormat="1" applyFont="1" applyFill="1" applyAlignment="1"/>
    <xf numFmtId="2" fontId="22" fillId="4" borderId="1" xfId="0" applyNumberFormat="1" applyFont="1" applyFill="1" applyBorder="1" applyAlignment="1"/>
    <xf numFmtId="43" fontId="0" fillId="4" borderId="1" xfId="1" applyFont="1" applyFill="1" applyBorder="1" applyAlignment="1"/>
    <xf numFmtId="0" fontId="8" fillId="4" borderId="0" xfId="0" applyFont="1" applyFill="1" applyBorder="1" applyAlignment="1">
      <alignment horizontal="left" vertical="center" wrapText="1"/>
    </xf>
    <xf numFmtId="43" fontId="10" fillId="3" borderId="0" xfId="1" applyFont="1" applyFill="1" applyBorder="1" applyAlignment="1"/>
    <xf numFmtId="0" fontId="10" fillId="4" borderId="0" xfId="0" applyFont="1" applyFill="1" applyBorder="1" applyAlignment="1"/>
    <xf numFmtId="166" fontId="22" fillId="4" borderId="0" xfId="0" applyNumberFormat="1" applyFont="1" applyFill="1" applyAlignment="1">
      <alignment horizontal="right"/>
    </xf>
    <xf numFmtId="165" fontId="0" fillId="4" borderId="1" xfId="1" applyNumberFormat="1" applyFont="1" applyFill="1" applyBorder="1" applyAlignment="1">
      <alignment horizontal="center"/>
    </xf>
    <xf numFmtId="43" fontId="22" fillId="2" borderId="5" xfId="1" applyFont="1" applyFill="1" applyBorder="1" applyAlignment="1"/>
    <xf numFmtId="43" fontId="22" fillId="3" borderId="0" xfId="1" applyFont="1" applyFill="1" applyBorder="1" applyAlignment="1"/>
    <xf numFmtId="0" fontId="2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3" fontId="21" fillId="6" borderId="3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2" xfId="0" applyNumberFormat="1" applyFont="1" applyFill="1" applyBorder="1" applyAlignment="1"/>
    <xf numFmtId="0" fontId="15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4" borderId="0" xfId="0" applyFont="1" applyFill="1" applyAlignment="1"/>
    <xf numFmtId="43" fontId="0" fillId="4" borderId="0" xfId="0" applyNumberFormat="1" applyFont="1" applyFill="1" applyAlignment="1"/>
  </cellXfs>
  <cellStyles count="3">
    <cellStyle name="Millares" xfId="1" builtinId="3"/>
    <cellStyle name="Normal" xfId="0" builtinId="0"/>
    <cellStyle name="Porcentaje" xfId="2" builtinId="5"/>
  </cellStyles>
  <dxfs count="5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7" tint="-0.24994659260841701"/>
          <bgColor theme="0"/>
        </patternFill>
      </fill>
    </dxf>
    <dxf>
      <fill>
        <patternFill>
          <fgColor rgb="FF00B050"/>
        </patternFill>
      </fill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7" tint="-0.24994659260841701"/>
          <bgColor theme="0"/>
        </patternFill>
      </fill>
    </dxf>
    <dxf>
      <fill>
        <patternFill>
          <fgColor rgb="FF00B050"/>
        </patternFill>
      </fill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201707</xdr:colOff>
      <xdr:row>2</xdr:row>
      <xdr:rowOff>64714</xdr:rowOff>
    </xdr:from>
    <xdr:to>
      <xdr:col>9</xdr:col>
      <xdr:colOff>2124635</xdr:colOff>
      <xdr:row>6</xdr:row>
      <xdr:rowOff>147244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87AD78-365C-485F-8CE7-142B882C6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2383" y="434508"/>
          <a:ext cx="1922928" cy="889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212912</xdr:colOff>
      <xdr:row>3</xdr:row>
      <xdr:rowOff>11206</xdr:rowOff>
    </xdr:from>
    <xdr:to>
      <xdr:col>9</xdr:col>
      <xdr:colOff>2135840</xdr:colOff>
      <xdr:row>7</xdr:row>
      <xdr:rowOff>104942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695453-E787-4F1B-B850-C74F52EF2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8206" y="470647"/>
          <a:ext cx="1922928" cy="889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3352-A02C-4E4C-9543-08C548A54D36}">
  <dimension ref="B1:L30"/>
  <sheetViews>
    <sheetView tabSelected="1" zoomScale="85" zoomScaleNormal="85" workbookViewId="0">
      <selection activeCell="K2" sqref="K2"/>
    </sheetView>
  </sheetViews>
  <sheetFormatPr baseColWidth="10" defaultRowHeight="12.75" x14ac:dyDescent="0.2"/>
  <cols>
    <col min="1" max="1" width="5.140625" style="1" customWidth="1"/>
    <col min="2" max="2" width="37.85546875" style="1" customWidth="1"/>
    <col min="3" max="4" width="11.42578125" style="1"/>
    <col min="5" max="5" width="7.28515625" style="1" customWidth="1"/>
    <col min="6" max="6" width="39.7109375" style="1" customWidth="1"/>
    <col min="7" max="7" width="11.42578125" style="1"/>
    <col min="8" max="8" width="12.7109375" style="1" customWidth="1"/>
    <col min="9" max="9" width="8" style="1" customWidth="1"/>
    <col min="10" max="10" width="35.85546875" style="1" customWidth="1"/>
    <col min="11" max="11" width="22" style="1" bestFit="1" customWidth="1"/>
    <col min="12" max="12" width="12.28515625" style="1" bestFit="1" customWidth="1"/>
    <col min="13" max="16384" width="11.42578125" style="1"/>
  </cols>
  <sheetData>
    <row r="1" spans="2:12" ht="7.5" customHeight="1" thickBot="1" x14ac:dyDescent="0.25"/>
    <row r="2" spans="2:12" ht="21" thickBot="1" x14ac:dyDescent="0.35">
      <c r="B2" s="32" t="s">
        <v>28</v>
      </c>
      <c r="C2" s="59" t="s">
        <v>31</v>
      </c>
      <c r="D2" s="60"/>
      <c r="E2" s="60"/>
      <c r="F2" s="61"/>
      <c r="H2" s="53" t="s">
        <v>42</v>
      </c>
      <c r="I2" s="56">
        <f>+((C6*C4)+((G17+G15-C17)*1000000))/(G22*1000000)</f>
        <v>71.069555997001501</v>
      </c>
      <c r="J2" s="55" t="s">
        <v>44</v>
      </c>
      <c r="K2" s="57">
        <f>(((I2/'AÑO 2018'!I2)*'AÑO 2019'!C4)+((I4/'AÑO 2018'!I4)*'AÑO 2019'!C4)+((I6/'AÑO 2018'!I6)*'AÑO 2019'!C4))/3</f>
        <v>10.25770718327693</v>
      </c>
      <c r="L2" s="58"/>
    </row>
    <row r="3" spans="2:12" ht="10.5" customHeight="1" x14ac:dyDescent="0.2">
      <c r="H3" s="54"/>
      <c r="L3" s="70"/>
    </row>
    <row r="4" spans="2:12" ht="20.25" x14ac:dyDescent="0.3">
      <c r="B4" s="32" t="s">
        <v>29</v>
      </c>
      <c r="C4" s="34">
        <v>9.18</v>
      </c>
      <c r="E4" s="32" t="s">
        <v>32</v>
      </c>
      <c r="F4" s="35">
        <v>2019</v>
      </c>
      <c r="H4" s="53" t="s">
        <v>43</v>
      </c>
      <c r="I4" s="51">
        <f>+((C6*C4)+((G17+G15-C17)*1000000))/(G23*1000000)</f>
        <v>16.131833877828825</v>
      </c>
      <c r="K4" s="71"/>
    </row>
    <row r="5" spans="2:12" ht="10.5" customHeight="1" x14ac:dyDescent="0.3">
      <c r="C5" s="33"/>
      <c r="H5" s="36"/>
    </row>
    <row r="6" spans="2:12" ht="21.75" customHeight="1" x14ac:dyDescent="0.25">
      <c r="B6" s="32" t="s">
        <v>30</v>
      </c>
      <c r="C6" s="62">
        <v>6317515000</v>
      </c>
      <c r="D6" s="63"/>
      <c r="E6" s="64"/>
      <c r="H6" s="53" t="s">
        <v>1</v>
      </c>
      <c r="I6" s="51">
        <f>+K18</f>
        <v>17.027242425132119</v>
      </c>
      <c r="K6" s="29" t="s">
        <v>15</v>
      </c>
      <c r="L6" s="29" t="s">
        <v>14</v>
      </c>
    </row>
    <row r="8" spans="2:12" ht="18" customHeight="1" x14ac:dyDescent="0.2">
      <c r="B8" s="65" t="s">
        <v>13</v>
      </c>
      <c r="C8" s="65"/>
      <c r="D8" s="65"/>
      <c r="E8" s="66"/>
      <c r="F8" s="66"/>
      <c r="G8" s="66"/>
      <c r="H8" s="67"/>
    </row>
    <row r="9" spans="2:12" s="26" customFormat="1" ht="17.25" customHeight="1" x14ac:dyDescent="0.3">
      <c r="B9" s="27"/>
      <c r="C9" s="27"/>
      <c r="D9" s="27"/>
      <c r="E9" s="28"/>
      <c r="F9" s="28"/>
      <c r="G9" s="28"/>
      <c r="J9" s="30" t="s">
        <v>19</v>
      </c>
      <c r="K9" s="42">
        <f>+C25/C18</f>
        <v>2.7833846807606501E-2</v>
      </c>
      <c r="L9" s="49">
        <f>+(K9-'AÑO 2018'!K9)/'AÑO 2018'!K9</f>
        <v>4.3880073520708766E-2</v>
      </c>
    </row>
    <row r="10" spans="2:12" ht="15" customHeight="1" x14ac:dyDescent="0.25">
      <c r="C10" s="29" t="s">
        <v>15</v>
      </c>
      <c r="D10" s="29" t="s">
        <v>14</v>
      </c>
      <c r="G10" s="29" t="s">
        <v>15</v>
      </c>
      <c r="H10" s="29" t="s">
        <v>14</v>
      </c>
      <c r="J10" s="30" t="s">
        <v>18</v>
      </c>
      <c r="K10" s="43">
        <f>+C25/G13</f>
        <v>9.0397579489357185E-2</v>
      </c>
      <c r="L10" s="49">
        <f>+(K10-'AÑO 2018'!K10)/'AÑO 2018'!K10</f>
        <v>9.7187874213558165E-2</v>
      </c>
    </row>
    <row r="11" spans="2:12" ht="15.75" customHeight="1" x14ac:dyDescent="0.25">
      <c r="C11" s="6"/>
      <c r="D11" s="6"/>
      <c r="J11" s="30" t="s">
        <v>6</v>
      </c>
      <c r="K11" s="43">
        <f>+C25/(G15+G13)</f>
        <v>5.0233765467604677E-2</v>
      </c>
      <c r="L11" s="49">
        <f>+(K11-'AÑO 2018'!K11)/'AÑO 2018'!K11</f>
        <v>0.12222632058069866</v>
      </c>
    </row>
    <row r="12" spans="2:12" ht="15" customHeight="1" x14ac:dyDescent="0.25">
      <c r="B12" s="9" t="s">
        <v>33</v>
      </c>
      <c r="C12" s="15">
        <v>108812</v>
      </c>
      <c r="D12" s="39">
        <f>+(C12-'AÑO 2018'!C12)/'AÑO 2018'!C12</f>
        <v>9.1448919203570886E-2</v>
      </c>
      <c r="F12" s="10" t="s">
        <v>16</v>
      </c>
      <c r="G12" s="16">
        <v>47194</v>
      </c>
      <c r="H12" s="39">
        <f>+(G12-'AÑO 2018'!G12)/'AÑO 2018'!G12</f>
        <v>7.3176277969801709E-2</v>
      </c>
      <c r="K12" s="44"/>
      <c r="L12" s="49"/>
    </row>
    <row r="13" spans="2:12" ht="15" customHeight="1" x14ac:dyDescent="0.25">
      <c r="B13" s="9"/>
      <c r="C13" s="22"/>
      <c r="D13" s="25"/>
      <c r="F13" s="9" t="s">
        <v>41</v>
      </c>
      <c r="G13" s="16">
        <v>37678</v>
      </c>
      <c r="H13" s="39">
        <f>+(G13-'AÑO 2018'!G13)/'AÑO 2018'!G13</f>
        <v>2.9960089661582198E-2</v>
      </c>
      <c r="K13" s="44"/>
      <c r="L13" s="49"/>
    </row>
    <row r="14" spans="2:12" ht="15" customHeight="1" x14ac:dyDescent="0.25">
      <c r="B14" s="11"/>
      <c r="C14" s="14"/>
      <c r="D14" s="40"/>
      <c r="F14" s="9" t="s">
        <v>35</v>
      </c>
      <c r="G14" s="38">
        <v>56043</v>
      </c>
      <c r="H14" s="39">
        <f>+(G14-'AÑO 2018'!G14)/'AÑO 2018'!G14</f>
        <v>5.8533544877606529E-2</v>
      </c>
      <c r="J14" s="30" t="s">
        <v>20</v>
      </c>
      <c r="K14" s="43">
        <f>+(C22-C23)/C22</f>
        <v>0.4463320251392815</v>
      </c>
      <c r="L14" s="49">
        <f>+(K14-'AÑO 2018'!K14)/'AÑO 2018'!K14</f>
        <v>1.4259525867204336E-2</v>
      </c>
    </row>
    <row r="15" spans="2:12" ht="15" customHeight="1" x14ac:dyDescent="0.25">
      <c r="B15" s="10"/>
      <c r="C15" s="13"/>
      <c r="D15" s="41"/>
      <c r="F15" s="9" t="s">
        <v>7</v>
      </c>
      <c r="G15" s="12">
        <v>30125</v>
      </c>
      <c r="H15" s="39">
        <f>+(G15-'AÑO 2018'!G15)/'AÑO 2018'!G15</f>
        <v>-2.0357061558973693E-2</v>
      </c>
      <c r="J15" s="30" t="s">
        <v>21</v>
      </c>
      <c r="K15" s="43">
        <f>+C25/C22</f>
        <v>9.3476411340121301E-2</v>
      </c>
      <c r="L15" s="49">
        <f>+(K15-'AÑO 2018'!K15)/'AÑO 2018'!K15</f>
        <v>8.7818555990296851E-2</v>
      </c>
    </row>
    <row r="16" spans="2:12" ht="15" customHeight="1" x14ac:dyDescent="0.25">
      <c r="B16" s="9" t="s">
        <v>34</v>
      </c>
      <c r="C16" s="15">
        <v>13557</v>
      </c>
      <c r="D16" s="39">
        <f>+(C16-'AÑO 2018'!C16)/'AÑO 2018'!C16</f>
        <v>1.6114525558387049E-2</v>
      </c>
      <c r="F16" s="9" t="s">
        <v>36</v>
      </c>
      <c r="G16" s="15">
        <v>19131</v>
      </c>
      <c r="H16" s="39">
        <f>+(G16-'AÑO 2018'!G16)/'AÑO 2018'!G16</f>
        <v>0.18708116157855548</v>
      </c>
      <c r="J16" s="30" t="s">
        <v>23</v>
      </c>
      <c r="K16" s="45">
        <f>+(C25*1000000)/C6</f>
        <v>0.53913603687525868</v>
      </c>
      <c r="L16" s="49">
        <f>+(K16-'AÑO 2018'!K16)/'AÑO 2018'!K16</f>
        <v>0.14439029344997487</v>
      </c>
    </row>
    <row r="17" spans="2:12" ht="15" customHeight="1" x14ac:dyDescent="0.25">
      <c r="B17" s="11" t="s">
        <v>37</v>
      </c>
      <c r="C17" s="15">
        <v>2113</v>
      </c>
      <c r="D17" s="39">
        <f>+(C17-'AÑO 2018'!C17)/'AÑO 2018'!C17</f>
        <v>-0.24562656194216351</v>
      </c>
      <c r="F17" s="9" t="s">
        <v>8</v>
      </c>
      <c r="G17" s="12">
        <v>8800</v>
      </c>
      <c r="H17" s="39">
        <f>+(G17-'AÑO 2018'!G17)/'AÑO 2018'!G17</f>
        <v>0.33860663218740494</v>
      </c>
      <c r="K17" s="44"/>
      <c r="L17" s="49"/>
    </row>
    <row r="18" spans="2:12" ht="15" customHeight="1" x14ac:dyDescent="0.25">
      <c r="B18" s="10" t="s">
        <v>17</v>
      </c>
      <c r="C18" s="16">
        <f>+C12+C16</f>
        <v>122369</v>
      </c>
      <c r="D18" s="39">
        <f>+(C18-'AÑO 2018'!C18)/'AÑO 2018'!C18</f>
        <v>8.25570388456877E-2</v>
      </c>
      <c r="F18" s="10" t="s">
        <v>12</v>
      </c>
      <c r="G18" s="19">
        <f>+G14+G16+G12</f>
        <v>122368</v>
      </c>
      <c r="H18" s="39">
        <f>+(G18-'AÑO 2018'!G18)/'AÑO 2018'!G18</f>
        <v>8.2557769206270573E-2</v>
      </c>
      <c r="J18" s="30" t="s">
        <v>25</v>
      </c>
      <c r="K18" s="46">
        <f>+C4/K16</f>
        <v>17.027242425132119</v>
      </c>
      <c r="L18" s="49">
        <f>+(K18-'AÑO 2018'!K18)/'AÑO 2018'!K18</f>
        <v>0.14269783235405545</v>
      </c>
    </row>
    <row r="19" spans="2:12" ht="14.25" customHeight="1" x14ac:dyDescent="0.25">
      <c r="D19" s="26"/>
      <c r="J19" s="30" t="s">
        <v>24</v>
      </c>
      <c r="K19" s="46">
        <f>+G25</f>
        <v>0.35</v>
      </c>
      <c r="L19" s="49">
        <f>+(K19-'AÑO 2018'!K19)/'AÑO 2018'!K19</f>
        <v>6.060606060606049E-2</v>
      </c>
    </row>
    <row r="20" spans="2:12" ht="21" customHeight="1" x14ac:dyDescent="0.3">
      <c r="B20" s="68" t="s">
        <v>10</v>
      </c>
      <c r="C20" s="68"/>
      <c r="D20" s="69"/>
      <c r="E20" s="8"/>
      <c r="F20" s="68" t="s">
        <v>11</v>
      </c>
      <c r="G20" s="68"/>
      <c r="H20" s="69"/>
      <c r="K20" s="44"/>
      <c r="L20" s="49"/>
    </row>
    <row r="21" spans="2:12" ht="15.75" customHeight="1" x14ac:dyDescent="0.25">
      <c r="D21" s="26"/>
      <c r="J21" s="30" t="s">
        <v>26</v>
      </c>
      <c r="K21" s="43">
        <f>+K19/C4</f>
        <v>3.8126361655773419E-2</v>
      </c>
      <c r="L21" s="49">
        <f>+(K21-'AÑO 2018'!K21)/'AÑO 2018'!K21</f>
        <v>-0.18894830659536554</v>
      </c>
    </row>
    <row r="22" spans="2:12" ht="15.75" x14ac:dyDescent="0.25">
      <c r="B22" s="9" t="s">
        <v>38</v>
      </c>
      <c r="C22" s="37">
        <v>36437</v>
      </c>
      <c r="D22" s="39">
        <f>+(C22-'AÑO 2018'!C22)/'AÑO 2018'!C22</f>
        <v>3.8831076265146112E-2</v>
      </c>
      <c r="F22" s="17" t="s">
        <v>4</v>
      </c>
      <c r="G22" s="21">
        <v>1334</v>
      </c>
      <c r="H22" s="39">
        <f>+(G22-'AÑO 2018'!G22)/'AÑO 2018'!G22</f>
        <v>8.0161943319838058E-2</v>
      </c>
      <c r="J22" s="30" t="s">
        <v>0</v>
      </c>
      <c r="K22" s="43">
        <f>+K19/K16</f>
        <v>0.64918680270111562</v>
      </c>
      <c r="L22" s="49">
        <f>+(K22-'AÑO 2018'!K22)/'AÑO 2018'!K22</f>
        <v>-7.3212988019438263E-2</v>
      </c>
    </row>
    <row r="23" spans="2:12" ht="15.75" customHeight="1" x14ac:dyDescent="0.25">
      <c r="B23" s="9" t="s">
        <v>39</v>
      </c>
      <c r="C23" s="37">
        <v>20174</v>
      </c>
      <c r="D23" s="39">
        <f>+(C23-'AÑO 2018'!C23)/'AÑO 2018'!C23</f>
        <v>2.7189409368635439E-2</v>
      </c>
      <c r="F23" s="52" t="s">
        <v>2</v>
      </c>
      <c r="G23" s="21">
        <v>5877</v>
      </c>
      <c r="H23" s="7"/>
      <c r="K23" s="44"/>
      <c r="L23" s="49"/>
    </row>
    <row r="24" spans="2:12" ht="15.75" x14ac:dyDescent="0.25">
      <c r="B24" s="9" t="s">
        <v>40</v>
      </c>
      <c r="C24" s="18">
        <v>-65</v>
      </c>
      <c r="D24" s="39">
        <f>+(C24-'AÑO 2018'!C24)/'AÑO 2018'!C24</f>
        <v>0.27450980392156865</v>
      </c>
      <c r="F24" s="3"/>
      <c r="G24" s="4"/>
      <c r="H24" s="7"/>
      <c r="J24" s="31" t="s">
        <v>22</v>
      </c>
      <c r="K24" s="47">
        <f>+(G14+G16)/(G14+G16+G13)</f>
        <v>0.66612908942686</v>
      </c>
      <c r="L24" s="49">
        <f>+(K24-'AÑO 2018'!K24)/'AÑO 2018'!K24</f>
        <v>1.898652280961988E-2</v>
      </c>
    </row>
    <row r="25" spans="2:12" ht="15.75" x14ac:dyDescent="0.25">
      <c r="B25" s="9" t="s">
        <v>3</v>
      </c>
      <c r="C25" s="18">
        <v>3406</v>
      </c>
      <c r="D25" s="39">
        <f>+(C25-'AÑO 2018'!C25)/'AÑO 2018'!C25</f>
        <v>0.1300597213005972</v>
      </c>
      <c r="F25" s="17" t="s">
        <v>5</v>
      </c>
      <c r="G25" s="20">
        <v>0.35</v>
      </c>
      <c r="H25" s="39">
        <f>+(G25-'AÑO 2018'!G25)/'AÑO 2018'!G25</f>
        <v>6.060606060606049E-2</v>
      </c>
      <c r="J25" s="7" t="s">
        <v>27</v>
      </c>
      <c r="K25" s="48">
        <f>+C16-G16</f>
        <v>-5574</v>
      </c>
      <c r="L25" s="49">
        <f>+(K25-'AÑO 2018'!K25)/'AÑO 2018'!K25</f>
        <v>1.0093727469358327</v>
      </c>
    </row>
    <row r="26" spans="2:12" x14ac:dyDescent="0.2">
      <c r="B26" s="26"/>
      <c r="F26" s="5"/>
      <c r="G26" s="2"/>
    </row>
    <row r="27" spans="2:12" x14ac:dyDescent="0.2">
      <c r="B27" s="26"/>
    </row>
    <row r="30" spans="2:12" x14ac:dyDescent="0.2">
      <c r="C30" s="4"/>
    </row>
  </sheetData>
  <mergeCells count="5">
    <mergeCell ref="C2:F2"/>
    <mergeCell ref="C6:E6"/>
    <mergeCell ref="B8:H8"/>
    <mergeCell ref="F20:H20"/>
    <mergeCell ref="B20:D20"/>
  </mergeCells>
  <conditionalFormatting sqref="D12:D18">
    <cfRule type="cellIs" dxfId="50" priority="20" operator="greaterThan">
      <formula>0</formula>
    </cfRule>
    <cfRule type="cellIs" dxfId="49" priority="21" operator="lessThan">
      <formula>0</formula>
    </cfRule>
  </conditionalFormatting>
  <conditionalFormatting sqref="H12:H18">
    <cfRule type="cellIs" dxfId="48" priority="18" operator="greaterThan">
      <formula>0</formula>
    </cfRule>
    <cfRule type="cellIs" dxfId="47" priority="19" operator="lessThan">
      <formula>0</formula>
    </cfRule>
  </conditionalFormatting>
  <conditionalFormatting sqref="D22:D25">
    <cfRule type="cellIs" dxfId="46" priority="16" operator="greaterThan">
      <formula>0</formula>
    </cfRule>
    <cfRule type="cellIs" dxfId="45" priority="17" operator="lessThan">
      <formula>0</formula>
    </cfRule>
  </conditionalFormatting>
  <conditionalFormatting sqref="H22">
    <cfRule type="cellIs" dxfId="44" priority="14" operator="greaterThan">
      <formula>0</formula>
    </cfRule>
    <cfRule type="cellIs" dxfId="43" priority="15" operator="lessThan">
      <formula>0</formula>
    </cfRule>
  </conditionalFormatting>
  <conditionalFormatting sqref="H25">
    <cfRule type="cellIs" dxfId="42" priority="12" operator="greaterThan">
      <formula>0</formula>
    </cfRule>
    <cfRule type="cellIs" dxfId="41" priority="13" operator="lessThan">
      <formula>0</formula>
    </cfRule>
  </conditionalFormatting>
  <conditionalFormatting sqref="K9:K25">
    <cfRule type="cellIs" dxfId="40" priority="10" operator="lessThan">
      <formula>0</formula>
    </cfRule>
    <cfRule type="cellIs" dxfId="39" priority="11" operator="greaterThan">
      <formula>0</formula>
    </cfRule>
  </conditionalFormatting>
  <conditionalFormatting sqref="L9:L25">
    <cfRule type="cellIs" dxfId="38" priority="6" operator="lessThan">
      <formula>0</formula>
    </cfRule>
    <cfRule type="cellIs" dxfId="37" priority="7" operator="greaterThan">
      <formula>0</formula>
    </cfRule>
    <cfRule type="cellIs" dxfId="36" priority="8" operator="greaterThan">
      <formula>0</formula>
    </cfRule>
    <cfRule type="cellIs" dxfId="35" priority="9" operator="greaterThan">
      <formula>0</formula>
    </cfRule>
  </conditionalFormatting>
  <conditionalFormatting sqref="H15">
    <cfRule type="cellIs" dxfId="34" priority="4" operator="lessThan">
      <formula>0</formula>
    </cfRule>
    <cfRule type="cellIs" dxfId="33" priority="5" operator="greaterThan">
      <formula>0</formula>
    </cfRule>
  </conditionalFormatting>
  <conditionalFormatting sqref="H17">
    <cfRule type="cellIs" dxfId="32" priority="2" operator="lessThan">
      <formula>0</formula>
    </cfRule>
    <cfRule type="cellIs" dxfId="31" priority="3" operator="greaterThan">
      <formula>0</formula>
    </cfRule>
  </conditionalFormatting>
  <conditionalFormatting sqref="K9:K11">
    <cfRule type="cellIs" dxfId="30" priority="1" operator="greaterThan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5405-0550-4A51-858F-58E09D6EDA7E}">
  <dimension ref="B1:L30"/>
  <sheetViews>
    <sheetView zoomScale="85" zoomScaleNormal="85" workbookViewId="0">
      <selection activeCell="K2" sqref="K2"/>
    </sheetView>
  </sheetViews>
  <sheetFormatPr baseColWidth="10" defaultRowHeight="12.75" x14ac:dyDescent="0.2"/>
  <cols>
    <col min="1" max="1" width="5.140625" style="1" customWidth="1"/>
    <col min="2" max="2" width="37.85546875" style="1" customWidth="1"/>
    <col min="3" max="5" width="11.42578125" style="1"/>
    <col min="6" max="6" width="39.7109375" style="1" customWidth="1"/>
    <col min="7" max="9" width="11.42578125" style="1"/>
    <col min="10" max="10" width="40.28515625" style="1" customWidth="1"/>
    <col min="11" max="16384" width="11.42578125" style="1"/>
  </cols>
  <sheetData>
    <row r="1" spans="2:12" ht="6.75" customHeight="1" thickBot="1" x14ac:dyDescent="0.25"/>
    <row r="2" spans="2:12" ht="21" thickBot="1" x14ac:dyDescent="0.35">
      <c r="B2" s="32" t="s">
        <v>28</v>
      </c>
      <c r="C2" s="59" t="s">
        <v>31</v>
      </c>
      <c r="D2" s="60"/>
      <c r="E2" s="60"/>
      <c r="F2" s="61"/>
      <c r="H2" s="53" t="s">
        <v>42</v>
      </c>
      <c r="I2" s="56">
        <f>+((C6*C4)+((G17+G15-C17)*1000000))/(G22*1000000)</f>
        <v>64.320125975708507</v>
      </c>
      <c r="J2" s="55" t="s">
        <v>44</v>
      </c>
      <c r="K2" s="57">
        <f>+AVERAGE(I4,I6)*0.7</f>
        <v>10.326990234285047</v>
      </c>
    </row>
    <row r="3" spans="2:12" ht="7.5" customHeight="1" x14ac:dyDescent="0.2">
      <c r="H3" s="54"/>
    </row>
    <row r="4" spans="2:12" ht="20.25" x14ac:dyDescent="0.3">
      <c r="B4" s="32" t="s">
        <v>29</v>
      </c>
      <c r="C4" s="34">
        <v>7.02</v>
      </c>
      <c r="E4" s="32" t="s">
        <v>32</v>
      </c>
      <c r="F4" s="35">
        <v>2018</v>
      </c>
      <c r="H4" s="53" t="s">
        <v>43</v>
      </c>
      <c r="I4" s="51">
        <f>+((C6*C4)+((G17+G15-C17)*1000000))/(G23*1000000)</f>
        <v>14.604772123552124</v>
      </c>
    </row>
    <row r="5" spans="2:12" ht="13.5" customHeight="1" x14ac:dyDescent="0.3">
      <c r="C5" s="33"/>
      <c r="H5" s="36"/>
    </row>
    <row r="6" spans="2:12" ht="16.5" customHeight="1" x14ac:dyDescent="0.25">
      <c r="B6" s="32" t="s">
        <v>30</v>
      </c>
      <c r="C6" s="62">
        <v>6397629000</v>
      </c>
      <c r="D6" s="63"/>
      <c r="E6" s="64"/>
      <c r="H6" s="53" t="s">
        <v>1</v>
      </c>
      <c r="I6" s="51">
        <f>+K18</f>
        <v>14.900914260119441</v>
      </c>
      <c r="K6" s="29" t="s">
        <v>15</v>
      </c>
      <c r="L6" s="29" t="s">
        <v>14</v>
      </c>
    </row>
    <row r="8" spans="2:12" ht="25.5" customHeight="1" x14ac:dyDescent="0.2">
      <c r="B8" s="65" t="s">
        <v>13</v>
      </c>
      <c r="C8" s="65"/>
      <c r="D8" s="65"/>
      <c r="E8" s="66"/>
      <c r="F8" s="66"/>
      <c r="G8" s="66"/>
      <c r="H8" s="67"/>
      <c r="K8" s="7"/>
    </row>
    <row r="9" spans="2:12" s="26" customFormat="1" ht="17.25" customHeight="1" x14ac:dyDescent="0.3">
      <c r="B9" s="27"/>
      <c r="C9" s="27"/>
      <c r="D9" s="27"/>
      <c r="E9" s="28"/>
      <c r="F9" s="28"/>
      <c r="G9" s="28"/>
      <c r="J9" s="30" t="s">
        <v>19</v>
      </c>
      <c r="K9" s="42">
        <f>+C25/C18</f>
        <v>2.6663835735201747E-2</v>
      </c>
      <c r="L9" s="49">
        <f>+(K9-'AÑO 2018'!K9)/'AÑO 2018'!K9</f>
        <v>0</v>
      </c>
    </row>
    <row r="10" spans="2:12" ht="16.5" customHeight="1" x14ac:dyDescent="0.25">
      <c r="C10" s="29" t="s">
        <v>15</v>
      </c>
      <c r="D10" s="29" t="s">
        <v>14</v>
      </c>
      <c r="G10" s="29" t="s">
        <v>15</v>
      </c>
      <c r="H10" s="29" t="s">
        <v>14</v>
      </c>
      <c r="J10" s="30" t="s">
        <v>18</v>
      </c>
      <c r="K10" s="43">
        <f>+C25/G13</f>
        <v>8.2390246569351053E-2</v>
      </c>
      <c r="L10" s="49">
        <f>+(K10-'AÑO 2018'!K10)/'AÑO 2018'!K10</f>
        <v>0</v>
      </c>
    </row>
    <row r="11" spans="2:12" ht="17.25" customHeight="1" x14ac:dyDescent="0.25">
      <c r="C11" s="6"/>
      <c r="D11" s="6"/>
      <c r="J11" s="30" t="s">
        <v>6</v>
      </c>
      <c r="K11" s="43">
        <f>+C25/(G15+G13)</f>
        <v>4.4762597834642745E-2</v>
      </c>
      <c r="L11" s="49">
        <f>+(K11-'AÑO 2018'!K11)/'AÑO 2018'!K11</f>
        <v>0</v>
      </c>
    </row>
    <row r="12" spans="2:12" ht="15" customHeight="1" x14ac:dyDescent="0.25">
      <c r="B12" s="9" t="s">
        <v>33</v>
      </c>
      <c r="C12" s="15">
        <v>99695</v>
      </c>
      <c r="D12" s="39">
        <f>+(C12-'AÑO 2018'!C12)/'AÑO 2018'!C12</f>
        <v>0</v>
      </c>
      <c r="F12" s="10" t="s">
        <v>16</v>
      </c>
      <c r="G12" s="16">
        <v>43976</v>
      </c>
      <c r="H12" s="39">
        <f>+(G12-'AÑO 2018'!G12)/'AÑO 2018'!G12</f>
        <v>0</v>
      </c>
      <c r="K12" s="44"/>
      <c r="L12" s="49"/>
    </row>
    <row r="13" spans="2:12" ht="15" customHeight="1" x14ac:dyDescent="0.25">
      <c r="B13" s="9"/>
      <c r="C13" s="22"/>
      <c r="D13" s="22"/>
      <c r="F13" s="9" t="s">
        <v>41</v>
      </c>
      <c r="G13" s="16">
        <v>36582</v>
      </c>
      <c r="H13" s="39">
        <f>+(G13-'AÑO 2018'!G13)/'AÑO 2018'!G13</f>
        <v>0</v>
      </c>
      <c r="K13" s="44"/>
      <c r="L13" s="49"/>
    </row>
    <row r="14" spans="2:12" ht="15" customHeight="1" x14ac:dyDescent="0.25">
      <c r="B14" s="11"/>
      <c r="C14" s="14"/>
      <c r="D14" s="23"/>
      <c r="F14" s="9" t="s">
        <v>35</v>
      </c>
      <c r="G14" s="38">
        <v>52944</v>
      </c>
      <c r="H14" s="39">
        <f>+(G14-'AÑO 2018'!G14)/'AÑO 2018'!G14</f>
        <v>0</v>
      </c>
      <c r="J14" s="30" t="s">
        <v>20</v>
      </c>
      <c r="K14" s="43">
        <f>+(C22-C23)/C22</f>
        <v>0.44005702066999286</v>
      </c>
      <c r="L14" s="49">
        <f>+(K14-'AÑO 2018'!K14)/'AÑO 2018'!K14</f>
        <v>0</v>
      </c>
    </row>
    <row r="15" spans="2:12" ht="15" customHeight="1" x14ac:dyDescent="0.25">
      <c r="B15" s="10"/>
      <c r="C15" s="13"/>
      <c r="D15" s="24"/>
      <c r="F15" s="9" t="s">
        <v>7</v>
      </c>
      <c r="G15" s="12">
        <v>30751</v>
      </c>
      <c r="H15" s="39">
        <f>+(G15-'AÑO 2018'!G15)/'AÑO 2018'!G15</f>
        <v>0</v>
      </c>
      <c r="J15" s="30" t="s">
        <v>21</v>
      </c>
      <c r="K15" s="43">
        <f>+C25/C22</f>
        <v>8.593014967925873E-2</v>
      </c>
      <c r="L15" s="49">
        <f>+(K15-'AÑO 2018'!K15)/'AÑO 2018'!K15</f>
        <v>0</v>
      </c>
    </row>
    <row r="16" spans="2:12" ht="15" customHeight="1" x14ac:dyDescent="0.25">
      <c r="B16" s="9" t="s">
        <v>34</v>
      </c>
      <c r="C16" s="15">
        <v>13342</v>
      </c>
      <c r="D16" s="39">
        <f>+(C16-'AÑO 2018'!C16)/'AÑO 2018'!C16</f>
        <v>0</v>
      </c>
      <c r="F16" s="9" t="s">
        <v>36</v>
      </c>
      <c r="G16" s="15">
        <v>16116</v>
      </c>
      <c r="H16" s="39">
        <f>+(G16-'AÑO 2018'!G16)/'AÑO 2018'!G16</f>
        <v>0</v>
      </c>
      <c r="J16" s="30" t="s">
        <v>23</v>
      </c>
      <c r="K16" s="50">
        <f>+(C25*1000000)/C6</f>
        <v>0.47111203228571086</v>
      </c>
      <c r="L16" s="49">
        <f>+(K16-'AÑO 2018'!K16)/'AÑO 2018'!K16</f>
        <v>0</v>
      </c>
    </row>
    <row r="17" spans="2:12" ht="15" customHeight="1" x14ac:dyDescent="0.25">
      <c r="B17" s="11" t="s">
        <v>37</v>
      </c>
      <c r="C17" s="15">
        <v>2801</v>
      </c>
      <c r="D17" s="39">
        <f>+(C17-'AÑO 2018'!C17)/'AÑO 2018'!C17</f>
        <v>0</v>
      </c>
      <c r="F17" s="9" t="s">
        <v>8</v>
      </c>
      <c r="G17" s="12">
        <v>6574</v>
      </c>
      <c r="H17" s="39">
        <f>+(G17-'AÑO 2018'!G17)/'AÑO 2018'!G17</f>
        <v>0</v>
      </c>
      <c r="K17" s="44"/>
      <c r="L17" s="49"/>
    </row>
    <row r="18" spans="2:12" ht="15" customHeight="1" x14ac:dyDescent="0.25">
      <c r="B18" s="10" t="s">
        <v>17</v>
      </c>
      <c r="C18" s="16">
        <f>+C12+C16</f>
        <v>113037</v>
      </c>
      <c r="D18" s="39">
        <f>+(C18-'AÑO 2018'!C18)/'AÑO 2018'!C18</f>
        <v>0</v>
      </c>
      <c r="F18" s="10" t="s">
        <v>12</v>
      </c>
      <c r="G18" s="19">
        <f>+G14+G16+G12</f>
        <v>113036</v>
      </c>
      <c r="H18" s="39">
        <f>+(G18-'AÑO 2018'!G18)/'AÑO 2018'!G18</f>
        <v>0</v>
      </c>
      <c r="J18" s="30" t="s">
        <v>25</v>
      </c>
      <c r="K18" s="50">
        <f>+C4/K16</f>
        <v>14.900914260119441</v>
      </c>
      <c r="L18" s="49">
        <f>+(K18-'AÑO 2018'!K18)/'AÑO 2018'!K18</f>
        <v>0</v>
      </c>
    </row>
    <row r="19" spans="2:12" ht="15.75" x14ac:dyDescent="0.25">
      <c r="D19" s="26"/>
      <c r="J19" s="30" t="s">
        <v>24</v>
      </c>
      <c r="K19" s="46">
        <f>+G25</f>
        <v>0.33</v>
      </c>
      <c r="L19" s="49">
        <f>+(K19-'AÑO 2018'!K19)/'AÑO 2018'!K19</f>
        <v>0</v>
      </c>
    </row>
    <row r="20" spans="2:12" ht="20.25" customHeight="1" x14ac:dyDescent="0.3">
      <c r="B20" s="68" t="s">
        <v>10</v>
      </c>
      <c r="C20" s="68"/>
      <c r="D20" s="69"/>
      <c r="E20" s="8"/>
      <c r="F20" s="68" t="s">
        <v>11</v>
      </c>
      <c r="G20" s="68"/>
      <c r="H20" s="69"/>
      <c r="K20" s="44"/>
      <c r="L20" s="49"/>
    </row>
    <row r="21" spans="2:12" ht="12.75" customHeight="1" x14ac:dyDescent="0.25">
      <c r="D21" s="26"/>
      <c r="J21" s="30" t="s">
        <v>26</v>
      </c>
      <c r="K21" s="43">
        <f>+K19/C4</f>
        <v>4.7008547008547015E-2</v>
      </c>
      <c r="L21" s="49">
        <f>+(K21-'AÑO 2018'!K21)/'AÑO 2018'!K21</f>
        <v>0</v>
      </c>
    </row>
    <row r="22" spans="2:12" ht="15.75" x14ac:dyDescent="0.25">
      <c r="B22" s="9" t="s">
        <v>9</v>
      </c>
      <c r="C22" s="18">
        <v>35075</v>
      </c>
      <c r="D22" s="39">
        <f>+(C22-'AÑO 2018'!C22)/'AÑO 2018'!C22</f>
        <v>0</v>
      </c>
      <c r="F22" s="17" t="s">
        <v>4</v>
      </c>
      <c r="G22" s="21">
        <v>1235</v>
      </c>
      <c r="H22" s="39">
        <f>+(G22-'AÑO 2018'!G22)/'AÑO 2018'!G22</f>
        <v>0</v>
      </c>
      <c r="J22" s="30" t="s">
        <v>0</v>
      </c>
      <c r="K22" s="43">
        <f>+K19/K16</f>
        <v>0.70047032846715329</v>
      </c>
      <c r="L22" s="49">
        <f>+(K22-'AÑO 2018'!K22)/'AÑO 2018'!K22</f>
        <v>0</v>
      </c>
    </row>
    <row r="23" spans="2:12" ht="15.75" x14ac:dyDescent="0.25">
      <c r="B23" s="9" t="s">
        <v>39</v>
      </c>
      <c r="C23" s="37">
        <v>19640</v>
      </c>
      <c r="D23" s="39">
        <f>+(C23-'AÑO 2018'!C23)/'AÑO 2018'!C23</f>
        <v>0</v>
      </c>
      <c r="F23" s="52" t="s">
        <v>2</v>
      </c>
      <c r="G23" s="21">
        <v>5439</v>
      </c>
      <c r="K23" s="44"/>
      <c r="L23" s="49"/>
    </row>
    <row r="24" spans="2:12" ht="15.75" x14ac:dyDescent="0.25">
      <c r="B24" s="9" t="s">
        <v>40</v>
      </c>
      <c r="C24" s="18">
        <v>-51</v>
      </c>
      <c r="D24" s="39">
        <f>+(C24-'AÑO 2018'!C24)/'AÑO 2018'!C24</f>
        <v>0</v>
      </c>
      <c r="F24" s="3"/>
      <c r="G24" s="4"/>
      <c r="J24" s="31" t="s">
        <v>22</v>
      </c>
      <c r="K24" s="47">
        <f>+(G14+G16)/(G14+G16+G13)</f>
        <v>0.65371727153972847</v>
      </c>
      <c r="L24" s="49">
        <f>+(K24-'AÑO 2018'!K24)/'AÑO 2018'!K24</f>
        <v>0</v>
      </c>
    </row>
    <row r="25" spans="2:12" ht="15.75" x14ac:dyDescent="0.25">
      <c r="B25" s="9" t="s">
        <v>3</v>
      </c>
      <c r="C25" s="18">
        <v>3014</v>
      </c>
      <c r="D25" s="39">
        <f>+(C25-'AÑO 2018'!C25)/'AÑO 2018'!C25</f>
        <v>0</v>
      </c>
      <c r="F25" s="17" t="s">
        <v>5</v>
      </c>
      <c r="G25" s="20">
        <v>0.33</v>
      </c>
      <c r="H25" s="39">
        <f>+(G25-'AÑO 2018'!G25)/'AÑO 2018'!G25</f>
        <v>0</v>
      </c>
      <c r="J25" s="7" t="s">
        <v>27</v>
      </c>
      <c r="K25" s="48">
        <f>+C16-G16</f>
        <v>-2774</v>
      </c>
      <c r="L25" s="49">
        <f>+(K25-'AÑO 2018'!K25)/'AÑO 2018'!K25</f>
        <v>0</v>
      </c>
    </row>
    <row r="26" spans="2:12" x14ac:dyDescent="0.2">
      <c r="B26" s="26"/>
      <c r="F26" s="5"/>
      <c r="G26" s="2"/>
    </row>
    <row r="27" spans="2:12" x14ac:dyDescent="0.2">
      <c r="B27" s="26"/>
    </row>
    <row r="30" spans="2:12" x14ac:dyDescent="0.2">
      <c r="C30" s="4"/>
    </row>
  </sheetData>
  <mergeCells count="5">
    <mergeCell ref="C2:F2"/>
    <mergeCell ref="B8:H8"/>
    <mergeCell ref="B20:D20"/>
    <mergeCell ref="F20:H20"/>
    <mergeCell ref="C6:E6"/>
  </mergeCells>
  <conditionalFormatting sqref="K9:K25">
    <cfRule type="cellIs" dxfId="29" priority="33" operator="lessThan">
      <formula>0</formula>
    </cfRule>
    <cfRule type="cellIs" dxfId="28" priority="34" operator="greaterThan">
      <formula>0</formula>
    </cfRule>
  </conditionalFormatting>
  <conditionalFormatting sqref="L9:L25">
    <cfRule type="cellIs" dxfId="27" priority="29" operator="lessThan">
      <formula>0</formula>
    </cfRule>
    <cfRule type="cellIs" dxfId="26" priority="30" operator="greaterThan">
      <formula>0</formula>
    </cfRule>
    <cfRule type="cellIs" dxfId="25" priority="31" operator="greaterThan">
      <formula>0</formula>
    </cfRule>
    <cfRule type="cellIs" dxfId="24" priority="32" operator="greaterThan">
      <formula>0</formula>
    </cfRule>
  </conditionalFormatting>
  <conditionalFormatting sqref="D12">
    <cfRule type="cellIs" dxfId="23" priority="27" operator="greaterThan">
      <formula>0</formula>
    </cfRule>
    <cfRule type="cellIs" dxfId="22" priority="28" operator="lessThan">
      <formula>0</formula>
    </cfRule>
  </conditionalFormatting>
  <conditionalFormatting sqref="D16:D18">
    <cfRule type="cellIs" dxfId="21" priority="25" operator="greaterThan">
      <formula>0</formula>
    </cfRule>
    <cfRule type="cellIs" dxfId="20" priority="26" operator="lessThan">
      <formula>0</formula>
    </cfRule>
  </conditionalFormatting>
  <conditionalFormatting sqref="D22:D25">
    <cfRule type="cellIs" dxfId="19" priority="23" operator="greaterThan">
      <formula>0</formula>
    </cfRule>
    <cfRule type="cellIs" dxfId="18" priority="24" operator="lessThan">
      <formula>0</formula>
    </cfRule>
  </conditionalFormatting>
  <conditionalFormatting sqref="H12:H14">
    <cfRule type="cellIs" dxfId="17" priority="21" operator="greaterThan">
      <formula>0</formula>
    </cfRule>
    <cfRule type="cellIs" dxfId="16" priority="22" operator="lessThan">
      <formula>0</formula>
    </cfRule>
  </conditionalFormatting>
  <conditionalFormatting sqref="H16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H18">
    <cfRule type="cellIs" dxfId="13" priority="17" operator="greaterThan">
      <formula>0</formula>
    </cfRule>
    <cfRule type="cellIs" dxfId="12" priority="18" operator="lessThan">
      <formula>0</formula>
    </cfRule>
  </conditionalFormatting>
  <conditionalFormatting sqref="H22">
    <cfRule type="cellIs" dxfId="11" priority="15" operator="greaterThan">
      <formula>0</formula>
    </cfRule>
    <cfRule type="cellIs" dxfId="10" priority="16" operator="lessThan">
      <formula>0</formula>
    </cfRule>
  </conditionalFormatting>
  <conditionalFormatting sqref="H25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H17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H15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H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 2019</vt:lpstr>
      <vt:lpstr>AÑO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 Galan Serrano</cp:lastModifiedBy>
  <dcterms:modified xsi:type="dcterms:W3CDTF">2021-01-16T00:56:40Z</dcterms:modified>
</cp:coreProperties>
</file>